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atlanticpackets-my.sharepoint.com/personal/rick_azorespv_com/Documents/"/>
    </mc:Choice>
  </mc:AlternateContent>
  <xr:revisionPtr revIDLastSave="0" documentId="8_{CDE4DB30-345A-48F2-8D28-D0804DA94D54}" xr6:coauthVersionLast="47" xr6:coauthVersionMax="47" xr10:uidLastSave="{00000000-0000-0000-0000-000000000000}"/>
  <bookViews>
    <workbookView xWindow="-120" yWindow="-120" windowWidth="20730" windowHeight="11040" xr2:uid="{A1F35A64-5342-4D4C-ACB9-2A35B98585D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N8" i="1" l="1"/>
  <c r="N9" i="1" l="1"/>
  <c r="J11" i="1"/>
  <c r="J10" i="1"/>
  <c r="J9" i="1"/>
  <c r="J8" i="1"/>
  <c r="J7" i="1"/>
  <c r="J6" i="1"/>
  <c r="H11" i="1"/>
  <c r="H10" i="1"/>
  <c r="H9" i="1"/>
  <c r="H8" i="1"/>
  <c r="I11" i="1"/>
  <c r="I10" i="1"/>
  <c r="I9" i="1"/>
  <c r="I8" i="1"/>
  <c r="D12" i="1"/>
  <c r="D11" i="1"/>
  <c r="D10" i="1"/>
  <c r="D9" i="1"/>
  <c r="D8" i="1"/>
  <c r="D7" i="1"/>
  <c r="D6" i="1"/>
  <c r="V12" i="1" l="1"/>
  <c r="N10" i="1" l="1"/>
  <c r="L20" i="1" s="1"/>
  <c r="AA9" i="1" l="1"/>
  <c r="N7" i="1"/>
  <c r="N6" i="1"/>
  <c r="L16" i="1" s="1"/>
  <c r="L11" i="1"/>
  <c r="L10" i="1"/>
  <c r="L9" i="1"/>
  <c r="L8" i="1"/>
  <c r="L7" i="1"/>
  <c r="L6" i="1"/>
  <c r="N11" i="1"/>
  <c r="L21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E11" i="1"/>
  <c r="E10" i="1"/>
  <c r="O10" i="1" s="1"/>
  <c r="P10" i="1" s="1"/>
  <c r="R10" i="1" s="1"/>
  <c r="E9" i="1"/>
  <c r="E8" i="1"/>
  <c r="E7" i="1"/>
  <c r="E6" i="1"/>
  <c r="H7" i="1"/>
  <c r="I7" i="1" s="1"/>
  <c r="H6" i="1"/>
  <c r="I6" i="1" s="1"/>
  <c r="L17" i="1" l="1"/>
  <c r="O8" i="1"/>
  <c r="Q10" i="1"/>
  <c r="O7" i="1"/>
  <c r="P7" i="1" s="1"/>
  <c r="O6" i="1"/>
  <c r="P6" i="1" s="1"/>
  <c r="L12" i="1"/>
  <c r="G12" i="1"/>
  <c r="O11" i="1"/>
  <c r="P11" i="1" s="1"/>
  <c r="R11" i="1" s="1"/>
  <c r="I12" i="1"/>
  <c r="F12" i="1"/>
  <c r="E12" i="1"/>
  <c r="L18" i="1" l="1"/>
  <c r="L19" i="1"/>
  <c r="Q11" i="1"/>
  <c r="R8" i="1"/>
  <c r="Q8" i="1"/>
  <c r="R7" i="1"/>
  <c r="Q7" i="1"/>
  <c r="R6" i="1"/>
  <c r="Q6" i="1"/>
  <c r="N12" i="1" l="1"/>
  <c r="O9" i="1"/>
  <c r="R9" i="1" s="1"/>
  <c r="AB9" i="1" s="1"/>
  <c r="AB8" i="1"/>
  <c r="Q9" i="1"/>
  <c r="Q12" i="1" s="1"/>
  <c r="P12" i="1" s="1"/>
  <c r="O12" i="1" l="1"/>
  <c r="R12" i="1"/>
  <c r="AC8" i="1"/>
  <c r="AD8" i="1" s="1"/>
  <c r="M18" i="1"/>
  <c r="AC9" i="1"/>
  <c r="AD9" i="1" s="1"/>
  <c r="M19" i="1"/>
  <c r="C6" i="1" l="1"/>
  <c r="C20" i="1" l="1"/>
  <c r="C21" i="1" s="1"/>
  <c r="F16" i="1"/>
  <c r="C11" i="1"/>
  <c r="K6" i="1" l="1"/>
  <c r="S6" i="1"/>
  <c r="S11" i="1"/>
  <c r="T11" i="1" s="1"/>
  <c r="X11" i="1" l="1"/>
  <c r="U11" i="1"/>
  <c r="W11" i="1" s="1"/>
  <c r="T6" i="1"/>
  <c r="U6" i="1"/>
  <c r="W6" i="1" s="1"/>
  <c r="X6" i="1"/>
  <c r="K11" i="1"/>
  <c r="M11" i="1" s="1"/>
  <c r="C10" i="1"/>
  <c r="S10" i="1" l="1"/>
  <c r="T10" i="1" s="1"/>
  <c r="C9" i="1"/>
  <c r="X10" i="1" l="1"/>
  <c r="U10" i="1"/>
  <c r="W10" i="1" s="1"/>
  <c r="K10" i="1"/>
  <c r="M10" i="1" s="1"/>
  <c r="S9" i="1"/>
  <c r="T9" i="1" s="1"/>
  <c r="C8" i="1"/>
  <c r="X9" i="1" l="1"/>
  <c r="U9" i="1"/>
  <c r="W9" i="1" s="1"/>
  <c r="K9" i="1"/>
  <c r="M9" i="1" s="1"/>
  <c r="S8" i="1"/>
  <c r="T8" i="1" s="1"/>
  <c r="B12" i="1"/>
  <c r="C7" i="1"/>
  <c r="AA11" i="1"/>
  <c r="AB11" i="1" s="1"/>
  <c r="AB10" i="1"/>
  <c r="AA7" i="1"/>
  <c r="AB7" i="1" s="1"/>
  <c r="AA6" i="1"/>
  <c r="AB6" i="1" s="1"/>
  <c r="X8" i="1" l="1"/>
  <c r="U8" i="1"/>
  <c r="W8" i="1" s="1"/>
  <c r="AC7" i="1"/>
  <c r="AD7" i="1" s="1"/>
  <c r="M17" i="1"/>
  <c r="AC11" i="1"/>
  <c r="AD11" i="1" s="1"/>
  <c r="M21" i="1"/>
  <c r="AC10" i="1"/>
  <c r="AD10" i="1" s="1"/>
  <c r="M20" i="1"/>
  <c r="AC6" i="1"/>
  <c r="AD6" i="1" s="1"/>
  <c r="M16" i="1"/>
  <c r="K8" i="1"/>
  <c r="M8" i="1" s="1"/>
  <c r="AB12" i="1"/>
  <c r="C12" i="1"/>
  <c r="H12" i="1"/>
  <c r="AA12" i="1"/>
  <c r="K7" i="1" l="1"/>
  <c r="K12" i="1" s="1"/>
  <c r="S7" i="1"/>
  <c r="M12" i="1"/>
  <c r="J12" i="1"/>
  <c r="X12" i="1" s="1"/>
  <c r="Y12" i="1"/>
  <c r="U7" i="1" l="1"/>
  <c r="T7" i="1"/>
  <c r="T12" i="1" s="1"/>
  <c r="X7" i="1"/>
  <c r="S12" i="1"/>
  <c r="U12" i="1" l="1"/>
  <c r="W7" i="1"/>
  <c r="W12" i="1" s="1"/>
</calcChain>
</file>

<file path=xl/sharedStrings.xml><?xml version="1.0" encoding="utf-8"?>
<sst xmlns="http://schemas.openxmlformats.org/spreadsheetml/2006/main" count="108" uniqueCount="62">
  <si>
    <t>BESS SIZING CALCULATIONS</t>
  </si>
  <si>
    <t>Inverters</t>
  </si>
  <si>
    <t>Turbina</t>
  </si>
  <si>
    <t>Avg daily</t>
  </si>
  <si>
    <t>30 mins</t>
  </si>
  <si>
    <t>Avg</t>
  </si>
  <si>
    <t>Curtailed</t>
  </si>
  <si>
    <t>Charging</t>
  </si>
  <si>
    <t>Daily</t>
  </si>
  <si>
    <t xml:space="preserve">Target </t>
  </si>
  <si>
    <t>Minimum</t>
  </si>
  <si>
    <t>Adjusted</t>
  </si>
  <si>
    <t>Planned</t>
  </si>
  <si>
    <t>Available</t>
  </si>
  <si>
    <t xml:space="preserve">Annual </t>
  </si>
  <si>
    <t>Internal</t>
  </si>
  <si>
    <t>Amount</t>
  </si>
  <si>
    <t>Capacity</t>
  </si>
  <si>
    <t>Excess</t>
  </si>
  <si>
    <t>turbine</t>
  </si>
  <si>
    <t>Wind</t>
  </si>
  <si>
    <t>Wind 10%</t>
  </si>
  <si>
    <t>Demand</t>
  </si>
  <si>
    <t>Charge</t>
  </si>
  <si>
    <t>Target</t>
  </si>
  <si>
    <t>Min Charge</t>
  </si>
  <si>
    <t>Discharge</t>
  </si>
  <si>
    <t>Use</t>
  </si>
  <si>
    <t>Sold</t>
  </si>
  <si>
    <t>Utilization</t>
  </si>
  <si>
    <t>#</t>
  </si>
  <si>
    <t>cada</t>
  </si>
  <si>
    <t>total</t>
  </si>
  <si>
    <t>MW</t>
  </si>
  <si>
    <t>MWh</t>
  </si>
  <si>
    <t>Mwh</t>
  </si>
  <si>
    <t>MWh /day</t>
  </si>
  <si>
    <t>MWh/day</t>
  </si>
  <si>
    <t>GWh /year</t>
  </si>
  <si>
    <t>%</t>
  </si>
  <si>
    <t>GWh</t>
  </si>
  <si>
    <t>Minutes-Y1</t>
  </si>
  <si>
    <t>Minutes -Y25</t>
  </si>
  <si>
    <t>São Miguel</t>
  </si>
  <si>
    <t>Terceira</t>
  </si>
  <si>
    <t>Pico</t>
  </si>
  <si>
    <t>Faial</t>
  </si>
  <si>
    <t>São Jorge</t>
  </si>
  <si>
    <t>Santa Maria</t>
  </si>
  <si>
    <t>Todas as Ilhas</t>
  </si>
  <si>
    <t>PARAMETERS FOR STUDIES</t>
  </si>
  <si>
    <t>Micro (autoconsumo)</t>
  </si>
  <si>
    <t>PV - Others</t>
  </si>
  <si>
    <t>PV - FA</t>
  </si>
  <si>
    <t>Geothermal</t>
  </si>
  <si>
    <t>Hydro</t>
  </si>
  <si>
    <t>Waste</t>
  </si>
  <si>
    <t>Biogas</t>
  </si>
  <si>
    <t>BESS MWh</t>
  </si>
  <si>
    <t>BESS MW</t>
  </si>
  <si>
    <t>Sao Miguel</t>
  </si>
  <si>
    <t>Sao Jorge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</si>
</sst>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.0_);_(* \(#,##0.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4" xfId="0" applyFont="1" applyFill="1" applyBorder="1"/>
    <xf numFmtId="0" fontId="2" fillId="3" borderId="9" xfId="0" applyFont="1" applyFill="1" applyBorder="1"/>
    <xf numFmtId="43" fontId="0" fillId="2" borderId="0" xfId="1" applyFont="1" applyFill="1" applyBorder="1"/>
    <xf numFmtId="165" fontId="0" fillId="2" borderId="0" xfId="2" applyNumberFormat="1" applyFont="1" applyFill="1" applyBorder="1"/>
    <xf numFmtId="0" fontId="0" fillId="2" borderId="11" xfId="0" applyFill="1" applyBorder="1"/>
    <xf numFmtId="0" fontId="0" fillId="3" borderId="11" xfId="0" applyFill="1" applyBorder="1" applyAlignment="1">
      <alignment horizontal="right"/>
    </xf>
    <xf numFmtId="0" fontId="0" fillId="3" borderId="9" xfId="0" applyFill="1" applyBorder="1"/>
    <xf numFmtId="0" fontId="0" fillId="3" borderId="12" xfId="0" applyFill="1" applyBorder="1"/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43" fontId="0" fillId="2" borderId="10" xfId="0" applyNumberFormat="1" applyFill="1" applyBorder="1"/>
    <xf numFmtId="9" fontId="0" fillId="3" borderId="3" xfId="0" applyNumberFormat="1" applyFill="1" applyBorder="1" applyAlignment="1">
      <alignment horizontal="center"/>
    </xf>
    <xf numFmtId="0" fontId="0" fillId="3" borderId="10" xfId="0" applyFill="1" applyBorder="1" applyAlignment="1">
      <alignment horizontal="right"/>
    </xf>
    <xf numFmtId="0" fontId="0" fillId="3" borderId="6" xfId="0" applyFill="1" applyBorder="1" applyAlignment="1">
      <alignment horizontal="center"/>
    </xf>
    <xf numFmtId="9" fontId="3" fillId="3" borderId="13" xfId="2" applyFont="1" applyFill="1" applyBorder="1" applyAlignment="1">
      <alignment horizontal="center"/>
    </xf>
    <xf numFmtId="164" fontId="0" fillId="2" borderId="13" xfId="1" applyNumberFormat="1" applyFont="1" applyFill="1" applyBorder="1"/>
    <xf numFmtId="166" fontId="2" fillId="2" borderId="17" xfId="1" applyNumberFormat="1" applyFont="1" applyFill="1" applyBorder="1"/>
    <xf numFmtId="0" fontId="0" fillId="2" borderId="18" xfId="0" applyFill="1" applyBorder="1"/>
    <xf numFmtId="43" fontId="2" fillId="2" borderId="19" xfId="1" applyFont="1" applyFill="1" applyBorder="1"/>
    <xf numFmtId="166" fontId="2" fillId="2" borderId="20" xfId="1" applyNumberFormat="1" applyFont="1" applyFill="1" applyBorder="1"/>
    <xf numFmtId="43" fontId="2" fillId="2" borderId="18" xfId="1" applyFont="1" applyFill="1" applyBorder="1"/>
    <xf numFmtId="165" fontId="2" fillId="2" borderId="18" xfId="2" applyNumberFormat="1" applyFont="1" applyFill="1" applyBorder="1"/>
    <xf numFmtId="0" fontId="0" fillId="3" borderId="3" xfId="0" applyFill="1" applyBorder="1"/>
    <xf numFmtId="0" fontId="0" fillId="3" borderId="22" xfId="0" applyFill="1" applyBorder="1"/>
    <xf numFmtId="43" fontId="0" fillId="2" borderId="16" xfId="0" applyNumberFormat="1" applyFill="1" applyBorder="1"/>
    <xf numFmtId="43" fontId="0" fillId="2" borderId="18" xfId="1" applyFont="1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3" fontId="0" fillId="0" borderId="0" xfId="0" applyNumberFormat="1"/>
    <xf numFmtId="0" fontId="0" fillId="3" borderId="0" xfId="0" applyFill="1" applyAlignment="1">
      <alignment horizontal="center"/>
    </xf>
    <xf numFmtId="9" fontId="0" fillId="2" borderId="0" xfId="2" applyFont="1" applyFill="1" applyBorder="1"/>
    <xf numFmtId="0" fontId="0" fillId="0" borderId="0" xfId="0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5" xfId="0" applyFill="1" applyBorder="1"/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right"/>
    </xf>
    <xf numFmtId="164" fontId="0" fillId="2" borderId="0" xfId="1" applyNumberFormat="1" applyFont="1" applyFill="1" applyBorder="1"/>
    <xf numFmtId="43" fontId="0" fillId="2" borderId="16" xfId="1" applyFont="1" applyFill="1" applyBorder="1"/>
    <xf numFmtId="164" fontId="0" fillId="2" borderId="18" xfId="1" applyNumberFormat="1" applyFont="1" applyFill="1" applyBorder="1"/>
    <xf numFmtId="43" fontId="0" fillId="2" borderId="21" xfId="1" applyFont="1" applyFill="1" applyBorder="1"/>
    <xf numFmtId="0" fontId="0" fillId="3" borderId="25" xfId="0" applyFill="1" applyBorder="1"/>
    <xf numFmtId="0" fontId="0" fillId="3" borderId="22" xfId="0" applyFill="1" applyBorder="1" applyAlignment="1">
      <alignment horizontal="right"/>
    </xf>
    <xf numFmtId="9" fontId="0" fillId="3" borderId="0" xfId="0" applyNumberFormat="1" applyFill="1" applyAlignment="1">
      <alignment horizontal="center"/>
    </xf>
    <xf numFmtId="0" fontId="0" fillId="3" borderId="16" xfId="0" applyFill="1" applyBorder="1" applyAlignment="1">
      <alignment horizontal="right"/>
    </xf>
    <xf numFmtId="43" fontId="0" fillId="2" borderId="0" xfId="0" applyNumberFormat="1" applyFill="1"/>
    <xf numFmtId="0" fontId="0" fillId="2" borderId="0" xfId="0" applyFill="1"/>
    <xf numFmtId="9" fontId="2" fillId="2" borderId="18" xfId="2" applyFont="1" applyFill="1" applyBorder="1"/>
    <xf numFmtId="43" fontId="0" fillId="2" borderId="19" xfId="0" applyNumberFormat="1" applyFill="1" applyBorder="1"/>
    <xf numFmtId="0" fontId="0" fillId="2" borderId="21" xfId="0" applyFill="1" applyBorder="1"/>
    <xf numFmtId="43" fontId="0" fillId="0" borderId="0" xfId="1" applyFont="1"/>
    <xf numFmtId="164" fontId="0" fillId="0" borderId="0" xfId="1" applyNumberFormat="1" applyFont="1"/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073A-A457-4A2A-A7D7-B8857B0AFE75}">
  <dimension ref="A1:BC22"/>
  <sheetViews>
    <sheetView tabSelected="1" topLeftCell="B3" workbookViewId="0">
      <selection activeCell="M23" sqref="M23"/>
    </sheetView>
  </sheetViews>
  <sheetFormatPr defaultRowHeight="15"/>
  <cols>
    <col min="1" max="1" width="12.7109375" customWidth="1"/>
    <col min="2" max="2" width="10" customWidth="1"/>
    <col min="3" max="4" width="8.5703125" customWidth="1"/>
    <col min="5" max="5" width="7.85546875" customWidth="1"/>
    <col min="8" max="8" width="10.7109375" customWidth="1"/>
    <col min="10" max="10" width="9.5703125" bestFit="1" customWidth="1"/>
    <col min="11" max="24" width="9.5703125" customWidth="1"/>
    <col min="25" max="25" width="5" customWidth="1"/>
    <col min="26" max="27" width="9.5703125" customWidth="1"/>
    <col min="28" max="28" width="11.5703125" customWidth="1"/>
    <col min="29" max="29" width="9.5703125" bestFit="1" customWidth="1"/>
    <col min="30" max="30" width="11.5703125" bestFit="1" customWidth="1"/>
    <col min="31" max="34" width="11.5703125" customWidth="1"/>
    <col min="35" max="35" width="10.5703125" bestFit="1" customWidth="1"/>
    <col min="39" max="39" width="10.140625" bestFit="1" customWidth="1"/>
  </cols>
  <sheetData>
    <row r="1" spans="1:55" ht="15.75" thickBot="1">
      <c r="Z1" s="35"/>
    </row>
    <row r="2" spans="1:55">
      <c r="A2" s="8"/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 t="s">
        <v>1</v>
      </c>
      <c r="Z2" s="56"/>
      <c r="AA2" s="56"/>
      <c r="AB2" s="56"/>
      <c r="AC2" s="56"/>
      <c r="AD2" s="57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55">
      <c r="A3" s="7"/>
      <c r="B3" s="17" t="s">
        <v>2</v>
      </c>
      <c r="C3" s="30" t="s">
        <v>3</v>
      </c>
      <c r="D3" s="31"/>
      <c r="E3" s="31" t="s">
        <v>4</v>
      </c>
      <c r="F3" s="31" t="s">
        <v>5</v>
      </c>
      <c r="G3" s="31" t="s">
        <v>6</v>
      </c>
      <c r="H3" s="31" t="s">
        <v>7</v>
      </c>
      <c r="I3" s="31" t="s">
        <v>7</v>
      </c>
      <c r="J3" s="31" t="s">
        <v>8</v>
      </c>
      <c r="K3" s="31" t="s">
        <v>9</v>
      </c>
      <c r="L3" s="31" t="s">
        <v>10</v>
      </c>
      <c r="M3" s="33" t="s">
        <v>11</v>
      </c>
      <c r="N3" s="31" t="s">
        <v>12</v>
      </c>
      <c r="O3" s="31" t="s">
        <v>10</v>
      </c>
      <c r="P3" s="31" t="s">
        <v>10</v>
      </c>
      <c r="Q3" s="31" t="s">
        <v>11</v>
      </c>
      <c r="R3" s="31" t="s">
        <v>13</v>
      </c>
      <c r="S3" s="31" t="s">
        <v>8</v>
      </c>
      <c r="T3" s="31" t="s">
        <v>8</v>
      </c>
      <c r="U3" s="31" t="s">
        <v>14</v>
      </c>
      <c r="V3" s="31" t="s">
        <v>15</v>
      </c>
      <c r="W3" s="31" t="s">
        <v>16</v>
      </c>
      <c r="X3" s="31" t="s">
        <v>17</v>
      </c>
      <c r="Y3" s="36"/>
      <c r="Z3" s="37"/>
      <c r="AA3" s="38"/>
      <c r="AB3" s="38" t="s">
        <v>13</v>
      </c>
      <c r="AC3" s="38" t="s">
        <v>13</v>
      </c>
      <c r="AD3" s="45" t="s">
        <v>13</v>
      </c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55">
      <c r="A4" s="7"/>
      <c r="B4" s="18">
        <v>1</v>
      </c>
      <c r="C4" s="13" t="s">
        <v>18</v>
      </c>
      <c r="D4" s="11" t="s">
        <v>15</v>
      </c>
      <c r="E4" s="15" t="s">
        <v>19</v>
      </c>
      <c r="F4" s="11" t="s">
        <v>20</v>
      </c>
      <c r="G4" s="11" t="s">
        <v>21</v>
      </c>
      <c r="H4" s="11" t="s">
        <v>22</v>
      </c>
      <c r="I4" s="11" t="s">
        <v>22</v>
      </c>
      <c r="J4" s="11" t="s">
        <v>23</v>
      </c>
      <c r="K4" s="11" t="s">
        <v>17</v>
      </c>
      <c r="L4" s="11" t="s">
        <v>17</v>
      </c>
      <c r="M4" s="33" t="s">
        <v>24</v>
      </c>
      <c r="N4" s="11" t="s">
        <v>17</v>
      </c>
      <c r="O4" s="11" t="s">
        <v>23</v>
      </c>
      <c r="P4" s="11" t="s">
        <v>23</v>
      </c>
      <c r="Q4" s="11" t="s">
        <v>25</v>
      </c>
      <c r="R4" s="11" t="s">
        <v>17</v>
      </c>
      <c r="S4" s="11" t="s">
        <v>23</v>
      </c>
      <c r="T4" s="11" t="s">
        <v>26</v>
      </c>
      <c r="U4" s="11" t="s">
        <v>26</v>
      </c>
      <c r="V4" s="11" t="s">
        <v>27</v>
      </c>
      <c r="W4" s="11" t="s">
        <v>28</v>
      </c>
      <c r="X4" s="11" t="s">
        <v>29</v>
      </c>
      <c r="Y4" s="9" t="s">
        <v>30</v>
      </c>
      <c r="Z4" s="10" t="s">
        <v>31</v>
      </c>
      <c r="AA4" s="12" t="s">
        <v>32</v>
      </c>
      <c r="AB4" s="12" t="s">
        <v>17</v>
      </c>
      <c r="AC4" s="12" t="s">
        <v>17</v>
      </c>
      <c r="AD4" s="46" t="s">
        <v>17</v>
      </c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</row>
    <row r="5" spans="1:55">
      <c r="A5" s="7"/>
      <c r="B5" s="18" t="s">
        <v>33</v>
      </c>
      <c r="C5" s="33" t="s">
        <v>34</v>
      </c>
      <c r="D5" s="33" t="s">
        <v>35</v>
      </c>
      <c r="E5" s="47" t="s">
        <v>34</v>
      </c>
      <c r="F5" s="47" t="s">
        <v>36</v>
      </c>
      <c r="G5" s="47" t="s">
        <v>37</v>
      </c>
      <c r="H5" s="47" t="s">
        <v>38</v>
      </c>
      <c r="I5" s="47" t="s">
        <v>37</v>
      </c>
      <c r="J5" s="47" t="s">
        <v>34</v>
      </c>
      <c r="K5" s="47" t="s">
        <v>34</v>
      </c>
      <c r="L5" s="47" t="s">
        <v>33</v>
      </c>
      <c r="M5" s="47" t="s">
        <v>34</v>
      </c>
      <c r="N5" s="47" t="s">
        <v>34</v>
      </c>
      <c r="O5" s="47" t="s">
        <v>34</v>
      </c>
      <c r="P5" s="47" t="s">
        <v>39</v>
      </c>
      <c r="Q5" s="47" t="s">
        <v>34</v>
      </c>
      <c r="R5" s="47" t="s">
        <v>34</v>
      </c>
      <c r="S5" s="47" t="s">
        <v>34</v>
      </c>
      <c r="T5" s="47" t="s">
        <v>34</v>
      </c>
      <c r="U5" s="47" t="s">
        <v>40</v>
      </c>
      <c r="V5" s="47" t="s">
        <v>40</v>
      </c>
      <c r="W5" s="47" t="s">
        <v>40</v>
      </c>
      <c r="X5" s="47" t="s">
        <v>39</v>
      </c>
      <c r="Y5" s="6"/>
      <c r="Z5" s="40" t="s">
        <v>33</v>
      </c>
      <c r="AA5" s="16" t="s">
        <v>33</v>
      </c>
      <c r="AB5" s="39" t="s">
        <v>33</v>
      </c>
      <c r="AC5" s="39" t="s">
        <v>41</v>
      </c>
      <c r="AD5" s="48" t="s">
        <v>42</v>
      </c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</row>
    <row r="6" spans="1:55">
      <c r="A6" s="2" t="s">
        <v>43</v>
      </c>
      <c r="B6" s="19">
        <v>7.7</v>
      </c>
      <c r="C6" s="3">
        <f>4.6*(1-0.072)</f>
        <v>4.2687999999999997</v>
      </c>
      <c r="D6" s="3">
        <f>723/365</f>
        <v>1.9808219178082191</v>
      </c>
      <c r="E6" s="49">
        <f t="shared" ref="E6:E11" si="0">B6/2</f>
        <v>3.85</v>
      </c>
      <c r="F6" s="3">
        <f>29.4*1000/365</f>
        <v>80.547945205479451</v>
      </c>
      <c r="G6" s="49">
        <f>F6*0.1</f>
        <v>8.0547945205479454</v>
      </c>
      <c r="H6" s="3">
        <f>2766/0.856/1000</f>
        <v>3.231308411214953</v>
      </c>
      <c r="I6" s="3">
        <f>H6*1000/365</f>
        <v>8.8528997567532954</v>
      </c>
      <c r="J6" s="3">
        <f>IF(I6&gt;C6+G6+D6,C6+D6+G6,I6)</f>
        <v>8.8528997567532954</v>
      </c>
      <c r="K6" s="3">
        <f t="shared" ref="K6:K11" si="1">(J6+E6)/0.85</f>
        <v>14.944587949121525</v>
      </c>
      <c r="L6" s="3">
        <f>25/60*24</f>
        <v>10</v>
      </c>
      <c r="M6" s="3">
        <v>24</v>
      </c>
      <c r="N6" s="3">
        <f>4.073*6</f>
        <v>24.438000000000002</v>
      </c>
      <c r="O6" s="3">
        <f t="shared" ref="O6:O11" si="2">0.1*N6+E6</f>
        <v>6.2938000000000009</v>
      </c>
      <c r="P6" s="4">
        <f>ROUND(O6/N6,1)</f>
        <v>0.3</v>
      </c>
      <c r="Q6" s="3">
        <f>N6*P6</f>
        <v>7.3314000000000004</v>
      </c>
      <c r="R6" s="3">
        <f>N6*(1-(P6+0.05))</f>
        <v>15.884700000000002</v>
      </c>
      <c r="S6" s="3">
        <f>IF(R6&gt;J6,J6,R6)</f>
        <v>8.8528997567532954</v>
      </c>
      <c r="T6" s="3">
        <f>0.856*S6</f>
        <v>7.5780821917808208</v>
      </c>
      <c r="U6" s="3">
        <f>S6*365/1000*(1-0.144)</f>
        <v>2.7659999999999996</v>
      </c>
      <c r="V6" s="3">
        <v>-0.72299999999999998</v>
      </c>
      <c r="W6" s="3">
        <f>U6+V6</f>
        <v>2.0429999999999997</v>
      </c>
      <c r="X6" s="34">
        <f>S6/R6</f>
        <v>0.5573224396276476</v>
      </c>
      <c r="Y6" s="5">
        <v>4</v>
      </c>
      <c r="Z6" s="50">
        <v>3.06</v>
      </c>
      <c r="AA6" s="14">
        <f>Y6*Z6</f>
        <v>12.24</v>
      </c>
      <c r="AB6" s="14">
        <f t="shared" ref="AB6:AB11" si="3">IF(R6/2&gt;AA6,AA6,R6/2)</f>
        <v>7.9423500000000011</v>
      </c>
      <c r="AC6" s="14">
        <f>AB6/24*60</f>
        <v>19.855875000000005</v>
      </c>
      <c r="AD6" s="28">
        <f>0.75*AC6</f>
        <v>14.891906250000003</v>
      </c>
      <c r="AE6" s="32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</row>
    <row r="7" spans="1:55">
      <c r="A7" s="2" t="s">
        <v>44</v>
      </c>
      <c r="B7" s="19">
        <v>6.1</v>
      </c>
      <c r="C7" s="3">
        <f>9.4*(1-0.072)</f>
        <v>8.7232000000000003</v>
      </c>
      <c r="D7" s="3">
        <f>347/365</f>
        <v>0.9506849315068493</v>
      </c>
      <c r="E7" s="49">
        <f t="shared" si="0"/>
        <v>3.05</v>
      </c>
      <c r="F7" s="3">
        <f>44*1000/365</f>
        <v>120.54794520547945</v>
      </c>
      <c r="G7" s="49">
        <f t="shared" ref="G7:G11" si="4">F7*0.1</f>
        <v>12.054794520547945</v>
      </c>
      <c r="H7" s="3">
        <f>2253/0.856/1000</f>
        <v>2.6320093457943927</v>
      </c>
      <c r="I7" s="3">
        <f t="shared" ref="I7" si="5">H7*1000/365</f>
        <v>7.2109845090257334</v>
      </c>
      <c r="J7" s="3">
        <f t="shared" ref="J7:J11" si="6">IF(I7&gt;C7+G7+D7,C7+D7+G7,I7)</f>
        <v>7.2109845090257334</v>
      </c>
      <c r="K7" s="3">
        <f t="shared" si="1"/>
        <v>12.071746481206745</v>
      </c>
      <c r="L7" s="3">
        <f>25/60*12</f>
        <v>5</v>
      </c>
      <c r="M7" s="3">
        <v>15</v>
      </c>
      <c r="N7" s="3">
        <f>5.015*3</f>
        <v>15.044999999999998</v>
      </c>
      <c r="O7" s="3">
        <f t="shared" si="2"/>
        <v>4.5545</v>
      </c>
      <c r="P7" s="4">
        <f>ROUND(O7/N7,1)</f>
        <v>0.3</v>
      </c>
      <c r="Q7" s="3">
        <f t="shared" ref="Q7:Q11" si="7">N7*P7</f>
        <v>4.5134999999999996</v>
      </c>
      <c r="R7" s="3">
        <f t="shared" ref="R7:R11" si="8">N7*(1-(P7+0.05))</f>
        <v>9.7792499999999993</v>
      </c>
      <c r="S7" s="3">
        <f t="shared" ref="S7:S11" si="9">IF(R7&gt;J7,J7,R7)</f>
        <v>7.2109845090257334</v>
      </c>
      <c r="T7" s="3">
        <f t="shared" ref="T7:T11" si="10">0.856*S7</f>
        <v>6.1726027397260275</v>
      </c>
      <c r="U7" s="3">
        <f t="shared" ref="U7:U11" si="11">S7*365/1000*(1-0.144)</f>
        <v>2.2530000000000001</v>
      </c>
      <c r="V7" s="3">
        <v>-0.34699999999999998</v>
      </c>
      <c r="W7" s="3">
        <f t="shared" ref="W7:W11" si="12">U7+V7</f>
        <v>1.9060000000000001</v>
      </c>
      <c r="X7" s="34">
        <f t="shared" ref="X7:X11" si="13">S7/R7</f>
        <v>0.73737602669179481</v>
      </c>
      <c r="Y7" s="5">
        <v>3</v>
      </c>
      <c r="Z7" s="50">
        <v>2.66</v>
      </c>
      <c r="AA7" s="14">
        <f t="shared" ref="AA7:AA11" si="14">Y7*Z7</f>
        <v>7.98</v>
      </c>
      <c r="AB7" s="14">
        <f t="shared" si="3"/>
        <v>4.8896249999999997</v>
      </c>
      <c r="AC7" s="14">
        <f>AB7/12*60</f>
        <v>24.448125000000001</v>
      </c>
      <c r="AD7" s="28">
        <f t="shared" ref="AD7:AD11" si="15">0.75*AC7</f>
        <v>18.33609375</v>
      </c>
      <c r="AE7" s="32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</row>
    <row r="8" spans="1:55">
      <c r="A8" s="2" t="s">
        <v>45</v>
      </c>
      <c r="B8" s="19">
        <v>3.3759999999999999</v>
      </c>
      <c r="C8" s="3">
        <f>9.614*(1-0.072)</f>
        <v>8.9217920000000017</v>
      </c>
      <c r="D8" s="3">
        <f>347/365</f>
        <v>0.9506849315068493</v>
      </c>
      <c r="E8" s="49">
        <f t="shared" si="0"/>
        <v>1.6879999999999999</v>
      </c>
      <c r="F8" s="3">
        <f>11.8*1000/365</f>
        <v>32.328767123287669</v>
      </c>
      <c r="G8" s="49">
        <f t="shared" si="4"/>
        <v>3.2328767123287672</v>
      </c>
      <c r="H8" s="3">
        <f>I8*365/1000</f>
        <v>4.7834540800000003</v>
      </c>
      <c r="I8" s="3">
        <f>C8+D8+G8</f>
        <v>13.105353643835619</v>
      </c>
      <c r="J8" s="3">
        <f t="shared" si="6"/>
        <v>13.105353643835619</v>
      </c>
      <c r="K8" s="3">
        <f t="shared" si="1"/>
        <v>17.403945463336022</v>
      </c>
      <c r="L8" s="3">
        <f>25/60*8</f>
        <v>3.3333333333333335</v>
      </c>
      <c r="M8" s="3">
        <f t="shared" ref="M8:M11" si="16">IF(K8/2&lt;L8,L8*2,K8)</f>
        <v>17.403945463336022</v>
      </c>
      <c r="N8" s="3">
        <f>N7</f>
        <v>15.044999999999998</v>
      </c>
      <c r="O8" s="3">
        <f t="shared" si="2"/>
        <v>3.1924999999999999</v>
      </c>
      <c r="P8" s="4">
        <v>0.21199999999999999</v>
      </c>
      <c r="Q8" s="3">
        <f t="shared" si="7"/>
        <v>3.1895399999999996</v>
      </c>
      <c r="R8" s="3">
        <f t="shared" si="8"/>
        <v>11.103209999999999</v>
      </c>
      <c r="S8" s="3">
        <f t="shared" si="9"/>
        <v>11.103209999999999</v>
      </c>
      <c r="T8" s="3">
        <f t="shared" si="10"/>
        <v>9.5043477599999981</v>
      </c>
      <c r="U8" s="3">
        <f t="shared" si="11"/>
        <v>3.4690869323999998</v>
      </c>
      <c r="V8" s="3">
        <v>-0.34699999999999998</v>
      </c>
      <c r="W8" s="3">
        <f t="shared" si="12"/>
        <v>3.1220869323999998</v>
      </c>
      <c r="X8" s="34">
        <f t="shared" si="13"/>
        <v>1</v>
      </c>
      <c r="Y8" s="5">
        <v>3</v>
      </c>
      <c r="Z8" s="50">
        <v>2.66</v>
      </c>
      <c r="AA8" s="14">
        <v>5.33</v>
      </c>
      <c r="AB8" s="14">
        <f t="shared" si="3"/>
        <v>5.33</v>
      </c>
      <c r="AC8" s="14">
        <f>AB8/8*60</f>
        <v>39.975000000000001</v>
      </c>
      <c r="AD8" s="28">
        <f t="shared" si="15"/>
        <v>29.981250000000003</v>
      </c>
      <c r="AE8" s="32"/>
      <c r="AF8" s="32"/>
      <c r="AG8" s="32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</row>
    <row r="9" spans="1:55">
      <c r="A9" s="2" t="s">
        <v>46</v>
      </c>
      <c r="B9" s="19">
        <v>3.6970000000000001</v>
      </c>
      <c r="C9" s="3">
        <f>9.267*(1-0.072)</f>
        <v>8.5997760000000003</v>
      </c>
      <c r="D9" s="3">
        <f>319/365</f>
        <v>0.87397260273972599</v>
      </c>
      <c r="E9" s="49">
        <f t="shared" si="0"/>
        <v>1.8485</v>
      </c>
      <c r="F9" s="3">
        <f>10.4*1000/365</f>
        <v>28.493150684931507</v>
      </c>
      <c r="G9" s="49">
        <f t="shared" si="4"/>
        <v>2.849315068493151</v>
      </c>
      <c r="H9" s="3">
        <f t="shared" ref="H9:H11" si="17">I9*365/1000</f>
        <v>4.4979182400000006</v>
      </c>
      <c r="I9" s="3">
        <f t="shared" ref="I9:I11" si="18">C9+D9+G9</f>
        <v>12.323063671232878</v>
      </c>
      <c r="J9" s="3">
        <f t="shared" si="6"/>
        <v>12.323063671232878</v>
      </c>
      <c r="K9" s="3">
        <f t="shared" si="1"/>
        <v>16.672427848509269</v>
      </c>
      <c r="L9" s="3">
        <f>25/60*8</f>
        <v>3.3333333333333335</v>
      </c>
      <c r="M9" s="3">
        <f t="shared" si="16"/>
        <v>16.672427848509269</v>
      </c>
      <c r="N9" s="3">
        <f>N8</f>
        <v>15.044999999999998</v>
      </c>
      <c r="O9" s="3">
        <f t="shared" si="2"/>
        <v>3.3529999999999998</v>
      </c>
      <c r="P9" s="4">
        <v>0.2225</v>
      </c>
      <c r="Q9" s="3">
        <f t="shared" si="7"/>
        <v>3.3475124999999997</v>
      </c>
      <c r="R9" s="3">
        <f t="shared" si="8"/>
        <v>10.945237499999999</v>
      </c>
      <c r="S9" s="3">
        <f t="shared" si="9"/>
        <v>10.945237499999999</v>
      </c>
      <c r="T9" s="3">
        <f t="shared" si="10"/>
        <v>9.3691233</v>
      </c>
      <c r="U9" s="3">
        <f t="shared" si="11"/>
        <v>3.4197300044999999</v>
      </c>
      <c r="V9" s="3">
        <v>-0.31900000000000001</v>
      </c>
      <c r="W9" s="3">
        <f t="shared" si="12"/>
        <v>3.1007300044999999</v>
      </c>
      <c r="X9" s="34">
        <f t="shared" si="13"/>
        <v>1</v>
      </c>
      <c r="Y9" s="5">
        <v>3</v>
      </c>
      <c r="Z9" s="50">
        <v>2.66</v>
      </c>
      <c r="AA9" s="14">
        <f>AA8</f>
        <v>5.33</v>
      </c>
      <c r="AB9" s="14">
        <f t="shared" si="3"/>
        <v>5.33</v>
      </c>
      <c r="AC9" s="14">
        <f>AB9/8*60</f>
        <v>39.975000000000001</v>
      </c>
      <c r="AD9" s="28">
        <f t="shared" si="15"/>
        <v>29.981250000000003</v>
      </c>
      <c r="AE9" s="32"/>
      <c r="AF9" s="32"/>
      <c r="AG9" s="32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</row>
    <row r="10" spans="1:55">
      <c r="A10" s="2" t="s">
        <v>47</v>
      </c>
      <c r="B10" s="19">
        <v>1.54</v>
      </c>
      <c r="C10" s="3">
        <f>3.507*(1-0.072)</f>
        <v>3.2544960000000001</v>
      </c>
      <c r="D10" s="3">
        <f>169/365</f>
        <v>0.46301369863013697</v>
      </c>
      <c r="E10" s="49">
        <f t="shared" si="0"/>
        <v>0.77</v>
      </c>
      <c r="F10" s="3">
        <f>11*1000/365</f>
        <v>30.136986301369863</v>
      </c>
      <c r="G10" s="49">
        <f t="shared" si="4"/>
        <v>3.0136986301369864</v>
      </c>
      <c r="H10" s="3">
        <f t="shared" si="17"/>
        <v>2.4568910399999999</v>
      </c>
      <c r="I10" s="3">
        <f t="shared" si="18"/>
        <v>6.7312083287671234</v>
      </c>
      <c r="J10" s="3">
        <f t="shared" si="6"/>
        <v>6.7312083287671234</v>
      </c>
      <c r="K10" s="3">
        <f t="shared" si="1"/>
        <v>8.8249509750201458</v>
      </c>
      <c r="L10" s="3">
        <f>25/60*4</f>
        <v>1.6666666666666667</v>
      </c>
      <c r="M10" s="3">
        <f t="shared" si="16"/>
        <v>8.8249509750201458</v>
      </c>
      <c r="N10" s="3">
        <f>4.073*2</f>
        <v>8.1460000000000008</v>
      </c>
      <c r="O10" s="3">
        <f t="shared" si="2"/>
        <v>1.5846</v>
      </c>
      <c r="P10" s="4">
        <f t="shared" ref="P10:P11" si="19">ROUND(O10/N10,1)</f>
        <v>0.2</v>
      </c>
      <c r="Q10" s="3">
        <f t="shared" si="7"/>
        <v>1.6292000000000002</v>
      </c>
      <c r="R10" s="3">
        <f t="shared" si="8"/>
        <v>6.1095000000000006</v>
      </c>
      <c r="S10" s="3">
        <f t="shared" si="9"/>
        <v>6.1095000000000006</v>
      </c>
      <c r="T10" s="3">
        <f t="shared" si="10"/>
        <v>5.2297320000000003</v>
      </c>
      <c r="U10" s="3">
        <f t="shared" si="11"/>
        <v>1.9088521800000002</v>
      </c>
      <c r="V10" s="3">
        <v>-0.16900000000000001</v>
      </c>
      <c r="W10" s="3">
        <f t="shared" si="12"/>
        <v>1.7398521800000002</v>
      </c>
      <c r="X10" s="34">
        <f t="shared" si="13"/>
        <v>1</v>
      </c>
      <c r="Y10" s="5">
        <v>2</v>
      </c>
      <c r="Z10" s="50">
        <v>2.66</v>
      </c>
      <c r="AA10" s="14">
        <v>2.66</v>
      </c>
      <c r="AB10" s="14">
        <f t="shared" si="3"/>
        <v>2.66</v>
      </c>
      <c r="AC10" s="14">
        <f>AB10/4*60</f>
        <v>39.900000000000006</v>
      </c>
      <c r="AD10" s="28">
        <f t="shared" si="15"/>
        <v>29.925000000000004</v>
      </c>
      <c r="AE10" s="32"/>
      <c r="AF10" s="32"/>
      <c r="AG10" s="32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</row>
    <row r="11" spans="1:55">
      <c r="A11" s="2" t="s">
        <v>48</v>
      </c>
      <c r="B11" s="19">
        <v>1.8109999999999999</v>
      </c>
      <c r="C11" s="3">
        <f>1.616*(1-0.072)</f>
        <v>1.4996480000000001</v>
      </c>
      <c r="D11" s="3">
        <f>106/365</f>
        <v>0.29041095890410956</v>
      </c>
      <c r="E11" s="49">
        <f t="shared" si="0"/>
        <v>0.90549999999999997</v>
      </c>
      <c r="F11" s="3">
        <f>6.6*1000/365</f>
        <v>18.082191780821919</v>
      </c>
      <c r="G11" s="49">
        <f t="shared" si="4"/>
        <v>1.8082191780821919</v>
      </c>
      <c r="H11" s="3">
        <f t="shared" si="17"/>
        <v>1.3133715200000002</v>
      </c>
      <c r="I11" s="3">
        <f t="shared" si="18"/>
        <v>3.5982781369863015</v>
      </c>
      <c r="J11" s="3">
        <f t="shared" si="6"/>
        <v>3.5982781369863015</v>
      </c>
      <c r="K11" s="3">
        <f t="shared" si="1"/>
        <v>5.2985625141015316</v>
      </c>
      <c r="L11" s="3">
        <f>25/60*2</f>
        <v>0.83333333333333337</v>
      </c>
      <c r="M11" s="3">
        <f t="shared" si="16"/>
        <v>5.2985625141015316</v>
      </c>
      <c r="N11" s="3">
        <f>5.015</f>
        <v>5.0149999999999997</v>
      </c>
      <c r="O11" s="3">
        <f t="shared" si="2"/>
        <v>1.407</v>
      </c>
      <c r="P11" s="4">
        <f t="shared" si="19"/>
        <v>0.3</v>
      </c>
      <c r="Q11" s="3">
        <f t="shared" si="7"/>
        <v>1.5044999999999999</v>
      </c>
      <c r="R11" s="3">
        <f t="shared" si="8"/>
        <v>3.2597499999999999</v>
      </c>
      <c r="S11" s="3">
        <f t="shared" si="9"/>
        <v>3.2597499999999999</v>
      </c>
      <c r="T11" s="3">
        <f t="shared" si="10"/>
        <v>2.790346</v>
      </c>
      <c r="U11" s="3">
        <f t="shared" si="11"/>
        <v>1.01847629</v>
      </c>
      <c r="V11" s="3">
        <v>-0.106</v>
      </c>
      <c r="W11" s="3">
        <f t="shared" si="12"/>
        <v>0.91247628999999997</v>
      </c>
      <c r="X11" s="34">
        <f t="shared" si="13"/>
        <v>1</v>
      </c>
      <c r="Y11" s="5">
        <v>1</v>
      </c>
      <c r="Z11" s="50">
        <v>2.66</v>
      </c>
      <c r="AA11" s="14">
        <f t="shared" si="14"/>
        <v>2.66</v>
      </c>
      <c r="AB11" s="14">
        <f t="shared" si="3"/>
        <v>1.629875</v>
      </c>
      <c r="AC11" s="14">
        <f>AB11/2*60</f>
        <v>48.896250000000002</v>
      </c>
      <c r="AD11" s="28">
        <f t="shared" si="15"/>
        <v>36.6721875</v>
      </c>
      <c r="AE11" s="32"/>
      <c r="AF11" s="32"/>
      <c r="AG11" s="32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</row>
    <row r="12" spans="1:55" ht="15.75" thickBot="1">
      <c r="A12" s="1" t="s">
        <v>49</v>
      </c>
      <c r="B12" s="23">
        <f t="shared" ref="B12:O12" si="20">SUM(B6:B11)</f>
        <v>24.224</v>
      </c>
      <c r="C12" s="24">
        <f t="shared" si="20"/>
        <v>35.267712000000003</v>
      </c>
      <c r="D12" s="24">
        <f t="shared" si="20"/>
        <v>5.5095890410958903</v>
      </c>
      <c r="E12" s="24">
        <f t="shared" si="20"/>
        <v>12.112</v>
      </c>
      <c r="F12" s="24">
        <f t="shared" si="20"/>
        <v>310.13698630136986</v>
      </c>
      <c r="G12" s="24">
        <f t="shared" si="20"/>
        <v>31.013698630136986</v>
      </c>
      <c r="H12" s="24">
        <f t="shared" si="20"/>
        <v>18.914952637009346</v>
      </c>
      <c r="I12" s="24">
        <f t="shared" si="20"/>
        <v>51.821788046600958</v>
      </c>
      <c r="J12" s="24">
        <f t="shared" si="20"/>
        <v>51.821788046600958</v>
      </c>
      <c r="K12" s="24">
        <f t="shared" si="20"/>
        <v>75.216221231295236</v>
      </c>
      <c r="L12" s="24">
        <f t="shared" si="20"/>
        <v>24.166666666666664</v>
      </c>
      <c r="M12" s="24">
        <f t="shared" si="20"/>
        <v>87.199886800966965</v>
      </c>
      <c r="N12" s="24">
        <f t="shared" si="20"/>
        <v>82.734000000000009</v>
      </c>
      <c r="O12" s="24">
        <f t="shared" si="20"/>
        <v>20.385400000000001</v>
      </c>
      <c r="P12" s="25">
        <f>Q12/N12</f>
        <v>0.26005816834674977</v>
      </c>
      <c r="Q12" s="24">
        <f>SUM(Q6:Q11)</f>
        <v>21.515652499999998</v>
      </c>
      <c r="R12" s="24">
        <f t="shared" ref="R12:W12" si="21">SUM(R6:R11)</f>
        <v>57.081647499999988</v>
      </c>
      <c r="S12" s="24">
        <f t="shared" si="21"/>
        <v>47.481581765779026</v>
      </c>
      <c r="T12" s="24">
        <f t="shared" si="21"/>
        <v>40.644233991506844</v>
      </c>
      <c r="U12" s="24">
        <f t="shared" si="21"/>
        <v>14.835145406900001</v>
      </c>
      <c r="V12" s="24">
        <f t="shared" si="21"/>
        <v>-2.0109999999999997</v>
      </c>
      <c r="W12" s="24">
        <f t="shared" si="21"/>
        <v>12.824145406900001</v>
      </c>
      <c r="X12" s="51">
        <f>J12/R12</f>
        <v>0.90785375538785851</v>
      </c>
      <c r="Y12" s="20">
        <f>SUM(Y6:Y11)</f>
        <v>16</v>
      </c>
      <c r="Z12" s="21"/>
      <c r="AA12" s="22">
        <f>SUM(AA6:AA11)</f>
        <v>36.199999999999989</v>
      </c>
      <c r="AB12" s="22">
        <f>SUM(AB6:AB11)</f>
        <v>27.781849999999995</v>
      </c>
      <c r="AC12" s="52"/>
      <c r="AD12" s="53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</row>
    <row r="13" spans="1:55" ht="15.75" thickBot="1"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</row>
    <row r="14" spans="1:55">
      <c r="A14" s="8"/>
      <c r="B14" s="58" t="s">
        <v>50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9"/>
    </row>
    <row r="15" spans="1:55">
      <c r="A15" s="7"/>
      <c r="B15" s="26" t="s">
        <v>22</v>
      </c>
      <c r="C15" s="26" t="s">
        <v>51</v>
      </c>
      <c r="D15" s="26"/>
      <c r="E15" s="26" t="s">
        <v>52</v>
      </c>
      <c r="F15" s="26" t="s">
        <v>53</v>
      </c>
      <c r="G15" s="26" t="s">
        <v>20</v>
      </c>
      <c r="H15" s="26" t="s">
        <v>54</v>
      </c>
      <c r="I15" s="26" t="s">
        <v>55</v>
      </c>
      <c r="J15" s="26" t="s">
        <v>56</v>
      </c>
      <c r="K15" s="26" t="s">
        <v>57</v>
      </c>
      <c r="L15" s="26" t="s">
        <v>58</v>
      </c>
      <c r="M15" s="27" t="s">
        <v>59</v>
      </c>
      <c r="W15" s="54"/>
      <c r="X15" s="54"/>
    </row>
    <row r="16" spans="1:55">
      <c r="A16" s="2" t="s">
        <v>60</v>
      </c>
      <c r="B16" s="3">
        <v>551.70000000000005</v>
      </c>
      <c r="C16" s="3">
        <v>16.8</v>
      </c>
      <c r="D16" s="3"/>
      <c r="E16" s="3">
        <v>16</v>
      </c>
      <c r="F16" s="3">
        <f>17.25+18.76</f>
        <v>36.010000000000005</v>
      </c>
      <c r="G16" s="3">
        <v>35.54</v>
      </c>
      <c r="H16" s="3">
        <v>271.56</v>
      </c>
      <c r="I16" s="3">
        <v>24.33</v>
      </c>
      <c r="J16" s="3">
        <v>33.93</v>
      </c>
      <c r="K16" s="3">
        <v>0.6</v>
      </c>
      <c r="L16" s="41">
        <f>N6</f>
        <v>24.438000000000002</v>
      </c>
      <c r="M16" s="42">
        <f>AB6</f>
        <v>7.9423500000000011</v>
      </c>
      <c r="W16" s="54"/>
      <c r="X16" s="54"/>
    </row>
    <row r="17" spans="1:26">
      <c r="A17" s="2" t="s">
        <v>44</v>
      </c>
      <c r="B17" s="3">
        <v>212.9</v>
      </c>
      <c r="C17" s="3">
        <v>6.7</v>
      </c>
      <c r="D17" s="3"/>
      <c r="E17" s="3">
        <v>6.2</v>
      </c>
      <c r="F17" s="3">
        <v>19.3</v>
      </c>
      <c r="G17" s="3">
        <v>50.06</v>
      </c>
      <c r="H17" s="3">
        <v>15</v>
      </c>
      <c r="I17" s="3">
        <v>2.19</v>
      </c>
      <c r="J17" s="3">
        <v>12.52</v>
      </c>
      <c r="K17" s="3"/>
      <c r="L17" s="41">
        <f t="shared" ref="L17:L21" si="22">N7</f>
        <v>15.044999999999998</v>
      </c>
      <c r="M17" s="42">
        <f t="shared" ref="M17:M21" si="23">AB7</f>
        <v>4.8896249999999997</v>
      </c>
      <c r="W17" s="55"/>
      <c r="X17" s="54"/>
    </row>
    <row r="18" spans="1:26">
      <c r="A18" s="2" t="s">
        <v>45</v>
      </c>
      <c r="B18" s="3">
        <v>68.400000000000006</v>
      </c>
      <c r="C18" s="3">
        <v>2.61</v>
      </c>
      <c r="D18" s="3"/>
      <c r="E18" s="3">
        <v>1.5</v>
      </c>
      <c r="F18" s="3">
        <v>14.76</v>
      </c>
      <c r="G18" s="3">
        <v>10.96</v>
      </c>
      <c r="H18" s="3"/>
      <c r="I18" s="3"/>
      <c r="J18" s="3"/>
      <c r="K18" s="3"/>
      <c r="L18" s="41">
        <f t="shared" si="22"/>
        <v>15.044999999999998</v>
      </c>
      <c r="M18" s="42">
        <f t="shared" si="23"/>
        <v>5.33</v>
      </c>
      <c r="W18" s="55"/>
      <c r="X18" s="54"/>
    </row>
    <row r="19" spans="1:26">
      <c r="A19" s="2" t="s">
        <v>46</v>
      </c>
      <c r="B19" s="3">
        <v>63.3</v>
      </c>
      <c r="C19" s="3">
        <v>2.42</v>
      </c>
      <c r="D19" s="3"/>
      <c r="E19" s="3">
        <v>1.64</v>
      </c>
      <c r="F19" s="3">
        <v>13.85</v>
      </c>
      <c r="G19" s="3">
        <v>8.44</v>
      </c>
      <c r="H19" s="3"/>
      <c r="I19" s="3"/>
      <c r="J19" s="3"/>
      <c r="K19" s="3"/>
      <c r="L19" s="41">
        <f t="shared" si="22"/>
        <v>15.044999999999998</v>
      </c>
      <c r="M19" s="42">
        <f t="shared" si="23"/>
        <v>5.33</v>
      </c>
      <c r="W19" s="55"/>
      <c r="X19" s="54"/>
    </row>
    <row r="20" spans="1:26">
      <c r="A20" s="2" t="s">
        <v>61</v>
      </c>
      <c r="B20" s="3">
        <v>37.700000000000003</v>
      </c>
      <c r="C20" s="3">
        <f>0.6*C19</f>
        <v>1.452</v>
      </c>
      <c r="D20" s="3"/>
      <c r="E20" s="3">
        <v>1.1000000000000001</v>
      </c>
      <c r="F20" s="3">
        <v>6.19</v>
      </c>
      <c r="G20" s="3">
        <v>9.24</v>
      </c>
      <c r="H20" s="3"/>
      <c r="I20" s="3"/>
      <c r="J20" s="3"/>
      <c r="K20" s="3"/>
      <c r="L20" s="41">
        <f t="shared" si="22"/>
        <v>8.1460000000000008</v>
      </c>
      <c r="M20" s="42">
        <f t="shared" si="23"/>
        <v>2.66</v>
      </c>
      <c r="W20" s="55"/>
      <c r="X20" s="54"/>
    </row>
    <row r="21" spans="1:26" ht="15.75" thickBot="1">
      <c r="A21" s="1" t="s">
        <v>48</v>
      </c>
      <c r="B21" s="29">
        <v>25.3</v>
      </c>
      <c r="C21" s="29">
        <f>0.6*C20</f>
        <v>0.87119999999999997</v>
      </c>
      <c r="D21" s="29"/>
      <c r="E21" s="29">
        <v>1.22</v>
      </c>
      <c r="F21" s="29">
        <v>3.26</v>
      </c>
      <c r="G21" s="29">
        <v>6.81</v>
      </c>
      <c r="H21" s="29"/>
      <c r="I21" s="29"/>
      <c r="J21" s="29"/>
      <c r="K21" s="29"/>
      <c r="L21" s="43">
        <f t="shared" si="22"/>
        <v>5.0149999999999997</v>
      </c>
      <c r="M21" s="44">
        <f t="shared" si="23"/>
        <v>1.629875</v>
      </c>
      <c r="W21" s="54"/>
      <c r="X21" s="32"/>
      <c r="Z21" s="32"/>
    </row>
    <row r="22" spans="1:26">
      <c r="M22" s="32">
        <f>SUM(M16:M21)</f>
        <v>27.781849999999995</v>
      </c>
    </row>
  </sheetData>
  <mergeCells count="3">
    <mergeCell ref="B2:X2"/>
    <mergeCell ref="Y2:AD2"/>
    <mergeCell ref="B14:M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53cbc3-507a-49b3-991f-a2f23f26082f">
      <Terms xmlns="http://schemas.microsoft.com/office/infopath/2007/PartnerControls"/>
    </lcf76f155ced4ddcb4097134ff3c332f>
    <TaxCatchAll xmlns="1f218e2f-722f-42ad-a80e-79a2687c6e1d" xsi:nil="true"/>
    <Comments xmlns="ed53cbc3-507a-49b3-991f-a2f23f2608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8A4F0ED6AAC4DBF528CA16A446EBD" ma:contentTypeVersion="15" ma:contentTypeDescription="Create a new document." ma:contentTypeScope="" ma:versionID="edcaa21940d02c2cb1870a90b415147b">
  <xsd:schema xmlns:xsd="http://www.w3.org/2001/XMLSchema" xmlns:xs="http://www.w3.org/2001/XMLSchema" xmlns:p="http://schemas.microsoft.com/office/2006/metadata/properties" xmlns:ns2="ed53cbc3-507a-49b3-991f-a2f23f26082f" xmlns:ns3="1f218e2f-722f-42ad-a80e-79a2687c6e1d" targetNamespace="http://schemas.microsoft.com/office/2006/metadata/properties" ma:root="true" ma:fieldsID="48b395418cc9284d48a3535cfec256c1" ns2:_="" ns3:_="">
    <xsd:import namespace="ed53cbc3-507a-49b3-991f-a2f23f26082f"/>
    <xsd:import namespace="1f218e2f-722f-42ad-a80e-79a2687c6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Comme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3cbc3-507a-49b3-991f-a2f23f260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f62c27-727a-47a1-8d9f-b2cb979f3c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s" ma:index="19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8e2f-722f-42ad-a80e-79a2687c6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afdcde-07d5-47bf-9704-a12b522e7d84}" ma:internalName="TaxCatchAll" ma:showField="CatchAllData" ma:web="1f218e2f-722f-42ad-a80e-79a2687c6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AE121-0767-4B83-AAEA-5E86E76C9933}"/>
</file>

<file path=customXml/itemProps2.xml><?xml version="1.0" encoding="utf-8"?>
<ds:datastoreItem xmlns:ds="http://schemas.openxmlformats.org/officeDocument/2006/customXml" ds:itemID="{865B1E98-EA7A-4E84-8E96-DB14D6F110E4}"/>
</file>

<file path=customXml/itemProps3.xml><?xml version="1.0" encoding="utf-8"?>
<ds:datastoreItem xmlns:ds="http://schemas.openxmlformats.org/officeDocument/2006/customXml" ds:itemID="{1E798EC8-78A0-4957-860C-DB1DA004E9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Bercuvitz</dc:creator>
  <cp:keywords/>
  <dc:description/>
  <cp:lastModifiedBy>Rick Bercuvitz</cp:lastModifiedBy>
  <cp:revision/>
  <dcterms:created xsi:type="dcterms:W3CDTF">2025-11-05T18:46:03Z</dcterms:created>
  <dcterms:modified xsi:type="dcterms:W3CDTF">2026-01-16T17:10:50Z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0x0101001FA8A4F0ED6AAC4DBF528CA16A446EBD</vt:lpwstr>
  </property>
  <property fmtid="{D5CDD505-2E9C-101B-9397-08002B2CF9AE}" pid="3" name="MediaServiceImageTags">
    <vt:lpwstr/>
  </property>
</Properties>
</file>